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D20"/>
  <c r="G12"/>
  <c r="H23"/>
  <c r="H87" s="1"/>
  <c r="I69"/>
  <c r="I50" l="1"/>
  <c r="D60"/>
  <c r="I81"/>
  <c r="I26" l="1"/>
  <c r="I27"/>
  <c r="I35"/>
  <c r="I36"/>
  <c r="I37"/>
  <c r="I39"/>
  <c r="I43"/>
  <c r="I44"/>
  <c r="I45"/>
  <c r="I46"/>
  <c r="I47"/>
  <c r="I48"/>
  <c r="I49"/>
  <c r="I51"/>
  <c r="I55"/>
  <c r="I58"/>
  <c r="I59"/>
  <c r="I63"/>
  <c r="I64"/>
  <c r="I65"/>
  <c r="I71"/>
  <c r="I72"/>
  <c r="I79"/>
  <c r="I80"/>
  <c r="I25"/>
  <c r="H69"/>
  <c r="G60"/>
  <c r="G78"/>
  <c r="D62"/>
  <c r="G52"/>
  <c r="H52" s="1"/>
  <c r="D52"/>
  <c r="H71"/>
  <c r="G9"/>
  <c r="H72"/>
  <c r="G57"/>
  <c r="G83"/>
  <c r="D83"/>
  <c r="D78"/>
  <c r="I78" s="1"/>
  <c r="G74"/>
  <c r="I83" l="1"/>
  <c r="I52"/>
  <c r="I60"/>
  <c r="G75"/>
  <c r="G76" l="1"/>
  <c r="I75"/>
  <c r="D74"/>
  <c r="I74" s="1"/>
  <c r="G66"/>
  <c r="D66"/>
  <c r="I66" s="1"/>
  <c r="G62"/>
  <c r="I62" s="1"/>
  <c r="D57"/>
  <c r="I57" s="1"/>
  <c r="G54"/>
  <c r="D54"/>
  <c r="I54" s="1"/>
  <c r="G40"/>
  <c r="G41" s="1"/>
  <c r="I41" s="1"/>
  <c r="D40"/>
  <c r="I40" s="1"/>
  <c r="G32"/>
  <c r="G33" s="1"/>
  <c r="I33" s="1"/>
  <c r="D32"/>
  <c r="I32" s="1"/>
  <c r="G28"/>
  <c r="G29" s="1"/>
  <c r="D28"/>
  <c r="I28" l="1"/>
  <c r="G30"/>
  <c r="I29"/>
  <c r="G34"/>
  <c r="G42"/>
  <c r="G67"/>
  <c r="G68" l="1"/>
  <c r="I67"/>
  <c r="I19"/>
  <c r="I18"/>
  <c r="I17"/>
  <c r="I13"/>
  <c r="G15"/>
  <c r="D15"/>
  <c r="G14"/>
  <c r="D14"/>
  <c r="G84"/>
  <c r="G22" s="1"/>
  <c r="D12"/>
  <c r="G11"/>
  <c r="D11"/>
  <c r="G10"/>
  <c r="G82" s="1"/>
  <c r="D9"/>
  <c r="D10"/>
  <c r="I10" s="1"/>
  <c r="I9"/>
  <c r="G85"/>
  <c r="G77"/>
  <c r="G53"/>
  <c r="H53" s="1"/>
  <c r="G56"/>
  <c r="H56" s="1"/>
  <c r="G8"/>
  <c r="I20" l="1"/>
  <c r="I11"/>
  <c r="I12"/>
  <c r="I14"/>
  <c r="I15"/>
  <c r="G38"/>
  <c r="H38" s="1"/>
  <c r="G24"/>
  <c r="G31"/>
  <c r="G61"/>
  <c r="H61" s="1"/>
  <c r="G73"/>
  <c r="H73" s="1"/>
  <c r="G23" l="1"/>
  <c r="D42"/>
  <c r="I42" s="1"/>
  <c r="D34"/>
  <c r="D30"/>
  <c r="D53"/>
  <c r="I53" s="1"/>
  <c r="D31" l="1"/>
  <c r="I31" s="1"/>
  <c r="I34"/>
  <c r="D24"/>
  <c r="I24" s="1"/>
  <c r="I30"/>
  <c r="J4"/>
  <c r="D38"/>
  <c r="I38" s="1"/>
  <c r="D23"/>
  <c r="I23" s="1"/>
  <c r="D77"/>
  <c r="I77" s="1"/>
  <c r="D85"/>
  <c r="I85" s="1"/>
  <c r="D84" l="1"/>
  <c r="I84" s="1"/>
  <c r="D82"/>
  <c r="I82" s="1"/>
  <c r="D76" l="1"/>
  <c r="I76" s="1"/>
  <c r="D73" l="1"/>
  <c r="I73" s="1"/>
  <c r="D56"/>
  <c r="I56" s="1"/>
  <c r="D68"/>
  <c r="D8"/>
  <c r="I8" s="1"/>
  <c r="D61" l="1"/>
  <c r="I61" s="1"/>
  <c r="I68"/>
  <c r="D22" l="1"/>
  <c r="I22" s="1"/>
  <c r="J8" s="1"/>
  <c r="J3" l="1"/>
</calcChain>
</file>

<file path=xl/sharedStrings.xml><?xml version="1.0" encoding="utf-8"?>
<sst xmlns="http://schemas.openxmlformats.org/spreadsheetml/2006/main" count="131" uniqueCount="109">
  <si>
    <t>"Утверждаю"</t>
  </si>
  <si>
    <t xml:space="preserve">Председатель правления </t>
  </si>
  <si>
    <t>Статьи доходов и расходов</t>
  </si>
  <si>
    <t>Тариф (руб.)</t>
  </si>
  <si>
    <t>Эксплуатируемая площадь (м2)*12 мес</t>
  </si>
  <si>
    <t>Сумма (руб.)</t>
  </si>
  <si>
    <t>Доходы: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</si>
  <si>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Содержание и ремонт общего имущества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</si>
  <si>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</si>
  <si>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</si>
  <si>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 xml:space="preserve">Отопление 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</si>
  <si>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ГВС.   Холодная вода и стоки</t>
    </r>
  </si>
  <si>
    <t>6. Консъержи дома №1 и №5</t>
  </si>
  <si>
    <t>7. Консьержи дом №3</t>
  </si>
  <si>
    <t>11. Аренда помещения</t>
  </si>
  <si>
    <t>Расходы:</t>
  </si>
  <si>
    <t xml:space="preserve">Техническое обслуживание и ремонт лифтов </t>
  </si>
  <si>
    <t>Освидетельствование лифтов</t>
  </si>
  <si>
    <t xml:space="preserve">Страхование гражданской ответственности </t>
  </si>
  <si>
    <t>Внеплановый ремонт лифтового хозяйства</t>
  </si>
  <si>
    <t xml:space="preserve">З/плата лифтеров. </t>
  </si>
  <si>
    <t xml:space="preserve">отчисление на з/плату </t>
  </si>
  <si>
    <t>план</t>
  </si>
  <si>
    <t>- оплата услуг ООО "Домкомфорт"</t>
  </si>
  <si>
    <t>- накладные расходы</t>
  </si>
  <si>
    <t>Инвентарь и расходные материалы (лопаты, мётла, перчатки, мешки. Антигололедные реагенты.  и пр.)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</si>
  <si>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</si>
  <si>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 xml:space="preserve">Инвентарь и расходные материалы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</si>
  <si>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начисления на з/п</t>
    </r>
  </si>
  <si>
    <t>начисления на з/п</t>
  </si>
  <si>
    <t>Подготовка к сезонной эксплуатации внутридомовых инженерных сетей</t>
  </si>
  <si>
    <t>Установка обратных клапанов на водосчетчиках в квартирах</t>
  </si>
  <si>
    <t>Текущий ремонт и замена запорной арматуры на стояках</t>
  </si>
  <si>
    <t>Ремонт фасадов домов, замена плитки на фасадах</t>
  </si>
  <si>
    <t>Монтаж и обслуживание видео-камер</t>
  </si>
  <si>
    <t>Дератизация и дезинсекция</t>
  </si>
  <si>
    <t xml:space="preserve">заработная плата паспортиста </t>
  </si>
  <si>
    <t xml:space="preserve">начисления на з/п паспортиста </t>
  </si>
  <si>
    <t>1.25% от поступления+ обслуживание р/счетов</t>
  </si>
  <si>
    <t>1% от дохода</t>
  </si>
  <si>
    <t>услуги связи</t>
  </si>
  <si>
    <t>средняя за 6 мес/6*12</t>
  </si>
  <si>
    <t>расходные материалы.канц/товары, оргтехника, обслуживание оргтехники</t>
  </si>
  <si>
    <t>Информационные, консалтинговые услуги, услуги почты обучение сотрудников, програмное обеспечеие</t>
  </si>
  <si>
    <t>от начисления</t>
  </si>
  <si>
    <t>з/плата дворников (услуги домкомфорт)</t>
  </si>
  <si>
    <t>383*63.72*12</t>
  </si>
  <si>
    <t>идексация з/п 5%</t>
  </si>
  <si>
    <t>З/плата сотрудников (диспетчер - 4 чел., слесарь-сантехник - 4 чел.)</t>
  </si>
  <si>
    <t>З/плата сотрудников (гл. инженер, электрик, плотник, инженер по пром. Безопастности, техник-смотритель)</t>
  </si>
  <si>
    <t>Ремонт дверей переходных балконов пожарных лестниц с установкой доводчиков</t>
  </si>
  <si>
    <t>включено в тариф</t>
  </si>
  <si>
    <t>З/плата сотрудников (Председатель, гл. бухгалтер, Управляющий)</t>
  </si>
  <si>
    <t>(диспетчера - 4чел*19641,8+слесари 4 чел*19008,2)*12+(диспетчера - 4чел*19641,8+слесари 4 чел*19008,2(подмены на период отпуска))</t>
  </si>
  <si>
    <t>(гл. инж. 47520,5+электр.-25435,73 + инженер по пром.безопастности - 12672,14+техник - 28964,88)*12</t>
  </si>
  <si>
    <t>1 чел*13239,14*12</t>
  </si>
  <si>
    <t>(гл.бухгалтер 40550,83+председатель. 47520,51+управляющий 44352,47)*12</t>
  </si>
  <si>
    <t>с 1-го июля 2016</t>
  </si>
  <si>
    <t>1 чел. - 19641,81*1*12</t>
  </si>
  <si>
    <t>ООО "Росгосстрах"  - 6000</t>
  </si>
  <si>
    <t>повышено по результатам 2015 г.</t>
  </si>
  <si>
    <t>ООО "НЛК" - 60679,36+5%</t>
  </si>
  <si>
    <t>Ремонт светильников в местах общего пользования</t>
  </si>
  <si>
    <t>8. Домофоны и электромагн. замки</t>
  </si>
  <si>
    <t>стоимость ХВС, ГВС, стоки по статистике потребления  за 2015</t>
  </si>
  <si>
    <t>9. Планируемые доходы от размещения рекламных стендов</t>
  </si>
  <si>
    <t>10. Компенсация электроэнергии от установленного оборудования сторонних организаций</t>
  </si>
  <si>
    <t>ООО "Лифтек"  -  43809.58*12+5% с июля 2016</t>
  </si>
  <si>
    <t>1. Услуги и работы по управлению МКД в том числе:</t>
  </si>
  <si>
    <t>а. Административные расходы: в т.ч.</t>
  </si>
  <si>
    <t>б. Регистрационный учёт: в т.ч.</t>
  </si>
  <si>
    <t xml:space="preserve">в. Оплата банковских услуг </t>
  </si>
  <si>
    <t>г. Налогообложение</t>
  </si>
  <si>
    <t>д. Непредвиденные расходы</t>
  </si>
  <si>
    <t>192000 квт в год</t>
  </si>
  <si>
    <t>б. Затраты на освещение мест общего пользования и электроэнергию для работы лифтов</t>
  </si>
  <si>
    <t>г. Санитарное и техническое содержание придомовой территории: в т.ч.</t>
  </si>
  <si>
    <t>д. Содержание лифтового хозяйства (в т.ч.)</t>
  </si>
  <si>
    <t>а. Техническое обслуживание оборудования и конструктивных элементов МКД в т.ч.:</t>
  </si>
  <si>
    <t xml:space="preserve">2.Содержание общего имущества МКД в т.ч. </t>
  </si>
  <si>
    <t>в. Уборка лестничных площадок и мест общего пользования : в т.ч.</t>
  </si>
  <si>
    <t>4. Аварийно-диспетчерское обслуживание: в т.ч.</t>
  </si>
  <si>
    <t>5. Содержание конъержей: в т.ч.</t>
  </si>
  <si>
    <r>
      <t>6.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Капитальный ремонт</t>
    </r>
  </si>
  <si>
    <r>
      <t>7.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Обслуживание антенн</t>
    </r>
  </si>
  <si>
    <r>
      <t>8.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Отопление</t>
    </r>
  </si>
  <si>
    <r>
      <t>9.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1"/>
        <color theme="1"/>
        <rFont val="Times New Roman"/>
        <family val="1"/>
        <charset val="204"/>
      </rPr>
      <t>ГВС. Холодная вода и стоки</t>
    </r>
  </si>
  <si>
    <t>смета на первое полугодие</t>
  </si>
  <si>
    <t>смета на второе полугодие</t>
  </si>
  <si>
    <t>сумма за 2016 год</t>
  </si>
  <si>
    <t>средн. вода+стоки+подогрев за 6 мес./6*12</t>
  </si>
  <si>
    <t xml:space="preserve">идексация з/п 5% </t>
  </si>
  <si>
    <t>тариф на 2-е полугодие</t>
  </si>
  <si>
    <t>На основании решения общего собрания собственников №7</t>
  </si>
  <si>
    <t xml:space="preserve">за второе полугодие +5% </t>
  </si>
  <si>
    <t>6. Замена столбиков на полусферы во дворе</t>
  </si>
  <si>
    <t>Проект СМЕТЫ ДОХОДОВ И РАСХОДОВ ТСЖ «БИТЦЕВСКИЙ ПРОЕЗД» на 2016 ГОД</t>
  </si>
  <si>
    <t>повышение тарифа в июле 2016 составит 3,85%</t>
  </si>
  <si>
    <t xml:space="preserve">Расходные материалы. Инструменты </t>
  </si>
  <si>
    <t xml:space="preserve">Покраска заборов и ограждений </t>
  </si>
  <si>
    <t>Благоустройство</t>
  </si>
  <si>
    <t>12. Благоустройство</t>
  </si>
  <si>
    <t>3. Текущий ремонт и покраска стен, дверей, укрепление дверных проемов замена светильников освещения мест общего пользования и пр.</t>
  </si>
  <si>
    <t>ООО "Хородей"  - со второго полугодия повышают стоимость на 10% 12245.21*6+13469,73*6, во втором полугодии включаем  0,3 (41461.1 за вт п/г)рубля за замки</t>
  </si>
  <si>
    <t>з. Обслуживание и ремонт противопожарной автоматики</t>
  </si>
  <si>
    <t>и. Обслуживание электромагнитных замков</t>
  </si>
  <si>
    <r>
      <t xml:space="preserve">к. </t>
    </r>
    <r>
      <rPr>
        <sz val="12"/>
        <color theme="1"/>
        <rFont val="Times New Roman"/>
        <family val="1"/>
        <charset val="204"/>
      </rPr>
      <t>Сбор и вывоз ТБО (Эко-транс)</t>
    </r>
  </si>
  <si>
    <t>26,91/27.82</t>
  </si>
  <si>
    <t>7. Планируемые работы по замене покрытия тротуаров, работы по благоустройству территории и закупка недостающего противо-пожарного оборудования и пр.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</si>
</sst>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wrapText="1"/>
    </xf>
    <xf numFmtId="0" fontId="0" fillId="5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center" wrapText="1"/>
    </xf>
    <xf numFmtId="2" fontId="0" fillId="0" borderId="0" xfId="0" applyNumberFormat="1"/>
    <xf numFmtId="9" fontId="0" fillId="0" borderId="0" xfId="0" applyNumberFormat="1"/>
    <xf numFmtId="9" fontId="1" fillId="2" borderId="0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2" fontId="0" fillId="2" borderId="0" xfId="0" applyNumberFormat="1" applyFill="1"/>
    <xf numFmtId="0" fontId="0" fillId="2" borderId="0" xfId="0" applyFill="1" applyBorder="1" applyAlignment="1">
      <alignment horizontal="left"/>
    </xf>
    <xf numFmtId="49" fontId="6" fillId="6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2" fontId="1" fillId="2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6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2" fontId="0" fillId="2" borderId="0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2" fontId="9" fillId="7" borderId="4" xfId="0" applyNumberFormat="1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left" vertical="center" wrapText="1"/>
    </xf>
    <xf numFmtId="2" fontId="1" fillId="4" borderId="5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2" fontId="9" fillId="6" borderId="5" xfId="0" applyNumberFormat="1" applyFont="1" applyFill="1" applyBorder="1" applyAlignment="1">
      <alignment horizontal="left" vertical="center" wrapText="1"/>
    </xf>
    <xf numFmtId="2" fontId="9" fillId="6" borderId="4" xfId="0" applyNumberFormat="1" applyFont="1" applyFill="1" applyBorder="1" applyAlignment="1">
      <alignment horizontal="left" vertical="center" wrapText="1"/>
    </xf>
    <xf numFmtId="2" fontId="9" fillId="4" borderId="4" xfId="0" applyNumberFormat="1" applyFont="1" applyFill="1" applyBorder="1" applyAlignment="1">
      <alignment horizontal="left" vertical="center" wrapText="1"/>
    </xf>
    <xf numFmtId="2" fontId="9" fillId="4" borderId="0" xfId="0" applyNumberFormat="1" applyFont="1" applyFill="1" applyBorder="1" applyAlignment="1">
      <alignment horizontal="left" vertical="center" wrapText="1"/>
    </xf>
    <xf numFmtId="2" fontId="9" fillId="4" borderId="5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left" vertical="center" wrapText="1"/>
    </xf>
    <xf numFmtId="9" fontId="0" fillId="0" borderId="0" xfId="0" applyNumberFormat="1" applyBorder="1" applyAlignment="1">
      <alignment horizontal="left"/>
    </xf>
    <xf numFmtId="0" fontId="1" fillId="6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2" fontId="1" fillId="2" borderId="15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2" fontId="1" fillId="2" borderId="16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" fontId="0" fillId="0" borderId="20" xfId="0" applyNumberForma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" fillId="7" borderId="20" xfId="0" applyFont="1" applyFill="1" applyBorder="1" applyAlignment="1">
      <alignment horizontal="left" vertical="center" wrapText="1"/>
    </xf>
    <xf numFmtId="2" fontId="9" fillId="7" borderId="10" xfId="0" applyNumberFormat="1" applyFont="1" applyFill="1" applyBorder="1" applyAlignment="1">
      <alignment horizontal="left" vertical="center" wrapText="1"/>
    </xf>
    <xf numFmtId="2" fontId="1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2" fontId="1" fillId="4" borderId="24" xfId="0" applyNumberFormat="1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1" fillId="7" borderId="18" xfId="0" applyFont="1" applyFill="1" applyBorder="1" applyAlignment="1">
      <alignment horizontal="left" vertical="center" wrapText="1"/>
    </xf>
    <xf numFmtId="2" fontId="9" fillId="7" borderId="19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2" fontId="9" fillId="6" borderId="19" xfId="0" applyNumberFormat="1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 wrapText="1"/>
    </xf>
    <xf numFmtId="2" fontId="9" fillId="6" borderId="10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2" fontId="9" fillId="6" borderId="24" xfId="0" applyNumberFormat="1" applyFont="1" applyFill="1" applyBorder="1" applyAlignment="1">
      <alignment horizontal="left" vertical="center" wrapText="1"/>
    </xf>
    <xf numFmtId="0" fontId="1" fillId="6" borderId="25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left" vertical="center" wrapText="1"/>
    </xf>
    <xf numFmtId="2" fontId="9" fillId="6" borderId="7" xfId="0" applyNumberFormat="1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2" fontId="9" fillId="6" borderId="12" xfId="0" applyNumberFormat="1" applyFont="1" applyFill="1" applyBorder="1" applyAlignment="1">
      <alignment horizontal="left" vertical="center" wrapText="1"/>
    </xf>
    <xf numFmtId="2" fontId="9" fillId="4" borderId="8" xfId="0" applyNumberFormat="1" applyFont="1" applyFill="1" applyBorder="1" applyAlignment="1">
      <alignment horizontal="left" vertical="center"/>
    </xf>
    <xf numFmtId="2" fontId="9" fillId="4" borderId="10" xfId="0" applyNumberFormat="1" applyFont="1" applyFill="1" applyBorder="1" applyAlignment="1">
      <alignment horizontal="left" vertical="center" wrapText="1"/>
    </xf>
    <xf numFmtId="2" fontId="9" fillId="4" borderId="11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2" fontId="9" fillId="2" borderId="5" xfId="0" applyNumberFormat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left" vertical="center"/>
    </xf>
    <xf numFmtId="2" fontId="9" fillId="0" borderId="7" xfId="0" applyNumberFormat="1" applyFont="1" applyBorder="1" applyAlignment="1">
      <alignment horizontal="left" vertical="center" wrapText="1"/>
    </xf>
    <xf numFmtId="2" fontId="0" fillId="2" borderId="7" xfId="0" applyNumberFormat="1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2" fontId="9" fillId="2" borderId="12" xfId="0" applyNumberFormat="1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/>
    </xf>
    <xf numFmtId="2" fontId="1" fillId="2" borderId="14" xfId="0" applyNumberFormat="1" applyFont="1" applyFill="1" applyBorder="1" applyAlignment="1">
      <alignment horizontal="left" vertical="center" wrapText="1"/>
    </xf>
    <xf numFmtId="2" fontId="0" fillId="2" borderId="14" xfId="0" applyNumberFormat="1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0" fillId="2" borderId="5" xfId="0" applyNumberFormat="1" applyFill="1" applyBorder="1" applyAlignment="1">
      <alignment horizontal="left" vertical="center"/>
    </xf>
    <xf numFmtId="2" fontId="1" fillId="8" borderId="5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49" fontId="6" fillId="5" borderId="28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4" fillId="4" borderId="25" xfId="0" applyNumberFormat="1" applyFont="1" applyFill="1" applyBorder="1" applyAlignment="1">
      <alignment horizontal="left" vertical="center" wrapText="1"/>
    </xf>
    <xf numFmtId="2" fontId="9" fillId="4" borderId="9" xfId="0" applyNumberFormat="1" applyFont="1" applyFill="1" applyBorder="1" applyAlignment="1">
      <alignment horizontal="left" vertical="center" wrapText="1"/>
    </xf>
    <xf numFmtId="2" fontId="9" fillId="4" borderId="7" xfId="0" applyNumberFormat="1" applyFont="1" applyFill="1" applyBorder="1" applyAlignment="1">
      <alignment horizontal="left" vertical="center" wrapText="1"/>
    </xf>
    <xf numFmtId="49" fontId="4" fillId="6" borderId="28" xfId="0" applyNumberFormat="1" applyFont="1" applyFill="1" applyBorder="1" applyAlignment="1">
      <alignment horizontal="left" vertical="center" wrapText="1"/>
    </xf>
    <xf numFmtId="164" fontId="0" fillId="2" borderId="0" xfId="0" applyNumberFormat="1" applyFill="1"/>
    <xf numFmtId="0" fontId="0" fillId="5" borderId="0" xfId="0" applyFill="1" applyBorder="1" applyAlignment="1">
      <alignment horizontal="left"/>
    </xf>
    <xf numFmtId="49" fontId="0" fillId="0" borderId="0" xfId="0" applyNumberFormat="1" applyAlignment="1">
      <alignment horizontal="left" vertical="center"/>
    </xf>
    <xf numFmtId="2" fontId="1" fillId="2" borderId="5" xfId="0" applyNumberFormat="1" applyFont="1" applyFill="1" applyBorder="1" applyAlignment="1">
      <alignment horizontal="left" vertical="center" wrapText="1"/>
    </xf>
    <xf numFmtId="2" fontId="1" fillId="9" borderId="5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4" fillId="6" borderId="25" xfId="0" applyNumberFormat="1" applyFont="1" applyFill="1" applyBorder="1" applyAlignment="1">
      <alignment horizontal="left" vertical="center" wrapText="1"/>
    </xf>
    <xf numFmtId="2" fontId="9" fillId="6" borderId="9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0" fillId="2" borderId="33" xfId="0" applyFill="1" applyBorder="1" applyAlignment="1">
      <alignment horizontal="left"/>
    </xf>
    <xf numFmtId="0" fontId="0" fillId="2" borderId="0" xfId="0" applyFill="1" applyBorder="1"/>
    <xf numFmtId="49" fontId="11" fillId="0" borderId="1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3" xfId="0" applyFill="1" applyBorder="1" applyAlignment="1">
      <alignment horizontal="center" wrapText="1"/>
    </xf>
    <xf numFmtId="49" fontId="6" fillId="7" borderId="29" xfId="0" applyNumberFormat="1" applyFont="1" applyFill="1" applyBorder="1" applyAlignment="1">
      <alignment horizontal="left" vertical="center" wrapText="1"/>
    </xf>
    <xf numFmtId="49" fontId="6" fillId="7" borderId="30" xfId="0" applyNumberFormat="1" applyFont="1" applyFill="1" applyBorder="1" applyAlignment="1">
      <alignment horizontal="left" vertical="center" wrapText="1"/>
    </xf>
    <xf numFmtId="49" fontId="6" fillId="7" borderId="3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topLeftCell="B1" zoomScaleNormal="100" workbookViewId="0">
      <selection activeCell="J1" sqref="J1:J1048576"/>
    </sheetView>
  </sheetViews>
  <sheetFormatPr defaultRowHeight="15"/>
  <cols>
    <col min="1" max="1" width="38.85546875" style="34" customWidth="1"/>
    <col min="2" max="2" width="14.7109375" style="34" customWidth="1"/>
    <col min="3" max="3" width="16.85546875" style="34" customWidth="1"/>
    <col min="4" max="4" width="13.140625" style="34" bestFit="1" customWidth="1"/>
    <col min="5" max="5" width="18.85546875" style="34" customWidth="1"/>
    <col min="6" max="6" width="17.85546875" style="34" customWidth="1"/>
    <col min="7" max="7" width="13.140625" style="34" bestFit="1" customWidth="1"/>
    <col min="8" max="8" width="12.42578125" style="73" bestFit="1" customWidth="1"/>
    <col min="9" max="9" width="13.85546875" style="34" bestFit="1" customWidth="1"/>
    <col min="10" max="10" width="32.85546875" hidden="1" customWidth="1"/>
    <col min="12" max="12" width="10.5703125" bestFit="1" customWidth="1"/>
  </cols>
  <sheetData>
    <row r="1" spans="1:12">
      <c r="A1" s="23"/>
      <c r="B1" s="34" t="s">
        <v>93</v>
      </c>
      <c r="K1" s="6"/>
    </row>
    <row r="2" spans="1:12">
      <c r="A2" s="23"/>
      <c r="B2" s="24" t="s">
        <v>0</v>
      </c>
      <c r="C2" s="23"/>
      <c r="D2" s="23"/>
      <c r="K2" s="6"/>
    </row>
    <row r="3" spans="1:12">
      <c r="A3" s="23"/>
      <c r="B3" s="176" t="s">
        <v>1</v>
      </c>
      <c r="C3" s="176"/>
      <c r="D3" s="23"/>
      <c r="G3" s="74"/>
      <c r="J3" s="11">
        <f>D8-D22</f>
        <v>25000.000280000269</v>
      </c>
      <c r="K3" s="6"/>
      <c r="L3" s="11"/>
    </row>
    <row r="4" spans="1:12">
      <c r="A4" s="23"/>
      <c r="B4" s="23"/>
      <c r="C4" s="23"/>
      <c r="D4" s="23"/>
      <c r="J4" s="11">
        <f>G8-G22</f>
        <v>-25000.03070599772</v>
      </c>
      <c r="K4" s="6"/>
      <c r="L4" s="11"/>
    </row>
    <row r="5" spans="1:12" ht="15.75" thickBot="1">
      <c r="A5" s="24" t="s">
        <v>96</v>
      </c>
      <c r="K5" s="6"/>
    </row>
    <row r="6" spans="1:12" ht="15.75" thickBot="1">
      <c r="A6" s="25"/>
      <c r="B6" s="177" t="s">
        <v>87</v>
      </c>
      <c r="C6" s="178"/>
      <c r="D6" s="179"/>
      <c r="E6" s="177" t="s">
        <v>88</v>
      </c>
      <c r="F6" s="178"/>
      <c r="G6" s="179"/>
      <c r="H6" s="164"/>
      <c r="I6" s="165"/>
      <c r="K6" s="6"/>
      <c r="L6" s="11"/>
    </row>
    <row r="7" spans="1:12" ht="45.75" thickBot="1">
      <c r="A7" s="26" t="s">
        <v>2</v>
      </c>
      <c r="B7" s="36" t="s">
        <v>3</v>
      </c>
      <c r="C7" s="36" t="s">
        <v>4</v>
      </c>
      <c r="D7" s="37" t="s">
        <v>5</v>
      </c>
      <c r="E7" s="84" t="s">
        <v>3</v>
      </c>
      <c r="F7" s="85" t="s">
        <v>4</v>
      </c>
      <c r="G7" s="86" t="s">
        <v>5</v>
      </c>
      <c r="H7" s="137" t="s">
        <v>92</v>
      </c>
      <c r="I7" s="38" t="s">
        <v>89</v>
      </c>
      <c r="K7" s="6"/>
    </row>
    <row r="8" spans="1:12" ht="21.75" thickBot="1">
      <c r="A8" s="27" t="s">
        <v>6</v>
      </c>
      <c r="B8" s="39"/>
      <c r="C8" s="39"/>
      <c r="D8" s="40">
        <f>SUM(D9:D20)</f>
        <v>15025418.430000002</v>
      </c>
      <c r="E8" s="87"/>
      <c r="F8" s="39"/>
      <c r="G8" s="40">
        <f>SUM(G9:G20)</f>
        <v>15343728.880000001</v>
      </c>
      <c r="H8" s="138"/>
      <c r="I8" s="134">
        <f t="shared" ref="I8:I15" si="0">D8+G8</f>
        <v>30369147.310000002</v>
      </c>
      <c r="J8" s="1">
        <f>I8-I22</f>
        <v>-3.0425995588302612E-2</v>
      </c>
      <c r="K8" s="6"/>
    </row>
    <row r="9" spans="1:12" ht="29.25" thickBot="1">
      <c r="A9" s="14" t="s">
        <v>7</v>
      </c>
      <c r="B9" s="41">
        <v>42.08</v>
      </c>
      <c r="C9" s="42">
        <v>23139.5</v>
      </c>
      <c r="D9" s="80">
        <f>C9*42.08*6</f>
        <v>5842260.959999999</v>
      </c>
      <c r="E9" s="88">
        <v>43.89</v>
      </c>
      <c r="F9" s="42">
        <v>23139.5</v>
      </c>
      <c r="G9" s="80">
        <f>F9*E9*6</f>
        <v>6093555.9299999997</v>
      </c>
      <c r="H9" s="139"/>
      <c r="I9" s="82">
        <f t="shared" si="0"/>
        <v>11935816.889999999</v>
      </c>
      <c r="K9" s="6"/>
    </row>
    <row r="10" spans="1:12" ht="15.75" thickBot="1">
      <c r="A10" s="14" t="s">
        <v>8</v>
      </c>
      <c r="B10" s="43">
        <v>8.3000000000000007</v>
      </c>
      <c r="C10" s="44">
        <v>22798.9</v>
      </c>
      <c r="D10" s="46">
        <f>B10*C10*6</f>
        <v>1135385.2200000002</v>
      </c>
      <c r="E10" s="89">
        <v>8.3000000000000007</v>
      </c>
      <c r="F10" s="44">
        <v>22798.9</v>
      </c>
      <c r="G10" s="46">
        <f>E10*F10*6</f>
        <v>1135385.2200000002</v>
      </c>
      <c r="H10" s="140"/>
      <c r="I10" s="131">
        <f t="shared" si="0"/>
        <v>2270770.4400000004</v>
      </c>
      <c r="K10" s="6"/>
    </row>
    <row r="11" spans="1:12" ht="15.75" thickBot="1">
      <c r="A11" s="14" t="s">
        <v>9</v>
      </c>
      <c r="B11" s="44">
        <v>122.13</v>
      </c>
      <c r="C11" s="47">
        <v>380</v>
      </c>
      <c r="D11" s="46">
        <f>B11*C11*6</f>
        <v>278456.40000000002</v>
      </c>
      <c r="E11" s="90">
        <v>122.13</v>
      </c>
      <c r="F11" s="47">
        <v>380</v>
      </c>
      <c r="G11" s="46">
        <f>E11*F11*6</f>
        <v>278456.40000000002</v>
      </c>
      <c r="H11" s="140"/>
      <c r="I11" s="131">
        <f t="shared" si="0"/>
        <v>556912.80000000005</v>
      </c>
      <c r="K11" s="6"/>
    </row>
    <row r="12" spans="1:12" ht="15.75" thickBot="1">
      <c r="A12" s="14" t="s">
        <v>10</v>
      </c>
      <c r="B12" s="43">
        <v>26.91</v>
      </c>
      <c r="C12" s="44">
        <v>23139.5</v>
      </c>
      <c r="D12" s="46">
        <f>26.91*C12*6</f>
        <v>3736103.67</v>
      </c>
      <c r="E12" s="89" t="s">
        <v>107</v>
      </c>
      <c r="F12" s="44">
        <v>23139.5</v>
      </c>
      <c r="G12" s="46">
        <f>27.82*F12*6</f>
        <v>3862445.34</v>
      </c>
      <c r="H12" s="140"/>
      <c r="I12" s="131">
        <f t="shared" si="0"/>
        <v>7598549.0099999998</v>
      </c>
      <c r="K12" s="6"/>
    </row>
    <row r="13" spans="1:12" ht="30.75" thickBot="1">
      <c r="A13" s="28" t="s">
        <v>11</v>
      </c>
      <c r="B13" s="48"/>
      <c r="C13" s="48"/>
      <c r="D13" s="46">
        <v>3107511.14</v>
      </c>
      <c r="E13" s="91"/>
      <c r="F13" s="48"/>
      <c r="G13" s="46">
        <v>2975971.05</v>
      </c>
      <c r="H13" s="140"/>
      <c r="I13" s="131">
        <f t="shared" si="0"/>
        <v>6083482.1899999995</v>
      </c>
      <c r="J13" s="7" t="s">
        <v>64</v>
      </c>
      <c r="K13" s="6"/>
    </row>
    <row r="14" spans="1:12" ht="16.5" customHeight="1" thickBot="1">
      <c r="A14" s="14" t="s">
        <v>12</v>
      </c>
      <c r="B14" s="41">
        <v>247.92</v>
      </c>
      <c r="C14" s="49">
        <v>270</v>
      </c>
      <c r="D14" s="50">
        <f>247.92*270*6</f>
        <v>401630.39999999997</v>
      </c>
      <c r="E14" s="88">
        <v>260.32</v>
      </c>
      <c r="F14" s="49">
        <v>270</v>
      </c>
      <c r="G14" s="50">
        <f>260.32*270*6</f>
        <v>421718.39999999997</v>
      </c>
      <c r="H14" s="141"/>
      <c r="I14" s="135">
        <f t="shared" si="0"/>
        <v>823348.79999999993</v>
      </c>
      <c r="J14" s="12">
        <v>0.05</v>
      </c>
      <c r="K14" s="18"/>
    </row>
    <row r="15" spans="1:12" ht="16.5" customHeight="1" thickBot="1">
      <c r="A15" s="14" t="s">
        <v>13</v>
      </c>
      <c r="B15" s="51">
        <v>301.08999999999997</v>
      </c>
      <c r="C15" s="52">
        <v>116</v>
      </c>
      <c r="D15" s="81">
        <f>301.09*116*6</f>
        <v>209558.63999999996</v>
      </c>
      <c r="E15" s="92">
        <v>316.14</v>
      </c>
      <c r="F15" s="52">
        <v>116</v>
      </c>
      <c r="G15" s="81">
        <f>316.14*116*6</f>
        <v>220033.44</v>
      </c>
      <c r="H15" s="140"/>
      <c r="I15" s="83">
        <f t="shared" si="0"/>
        <v>429592.07999999996</v>
      </c>
      <c r="J15" s="13">
        <v>0.05</v>
      </c>
      <c r="K15" s="6"/>
    </row>
    <row r="16" spans="1:12" ht="16.5" customHeight="1" thickBot="1">
      <c r="A16" s="35" t="s">
        <v>63</v>
      </c>
      <c r="B16" s="180" t="s">
        <v>51</v>
      </c>
      <c r="C16" s="181"/>
      <c r="D16" s="181"/>
      <c r="E16" s="180" t="s">
        <v>51</v>
      </c>
      <c r="F16" s="181"/>
      <c r="G16" s="181"/>
      <c r="H16" s="142"/>
      <c r="I16" s="75"/>
      <c r="K16" s="6"/>
    </row>
    <row r="17" spans="1:12" ht="29.25" thickBot="1">
      <c r="A17" s="14" t="s">
        <v>65</v>
      </c>
      <c r="B17" s="39"/>
      <c r="C17" s="39"/>
      <c r="D17" s="53">
        <v>9000</v>
      </c>
      <c r="E17" s="87"/>
      <c r="F17" s="39"/>
      <c r="G17" s="53">
        <v>9000</v>
      </c>
      <c r="H17" s="140"/>
      <c r="I17" s="109">
        <f>D17+G17</f>
        <v>18000</v>
      </c>
      <c r="K17" s="6"/>
    </row>
    <row r="18" spans="1:12" ht="43.5" thickBot="1">
      <c r="A18" s="14" t="s">
        <v>66</v>
      </c>
      <c r="B18" s="39"/>
      <c r="C18" s="39"/>
      <c r="D18" s="53">
        <v>40800</v>
      </c>
      <c r="E18" s="87"/>
      <c r="F18" s="39"/>
      <c r="G18" s="53">
        <v>40800</v>
      </c>
      <c r="H18" s="140"/>
      <c r="I18" s="103">
        <f>D18+G18</f>
        <v>81600</v>
      </c>
      <c r="K18" s="6"/>
    </row>
    <row r="19" spans="1:12" ht="15.75" thickBot="1">
      <c r="A19" s="14" t="s">
        <v>14</v>
      </c>
      <c r="B19" s="39"/>
      <c r="C19" s="115"/>
      <c r="D19" s="53">
        <v>195293.5</v>
      </c>
      <c r="E19" s="87"/>
      <c r="F19" s="115"/>
      <c r="G19" s="53">
        <v>195293.5</v>
      </c>
      <c r="H19" s="140"/>
      <c r="I19" s="103">
        <f>D19+G19</f>
        <v>390587</v>
      </c>
      <c r="K19" s="6"/>
    </row>
    <row r="20" spans="1:12" ht="15.75" thickBot="1">
      <c r="A20" s="14" t="s">
        <v>101</v>
      </c>
      <c r="B20" s="172">
        <v>0.5</v>
      </c>
      <c r="C20" s="175">
        <v>23139.5</v>
      </c>
      <c r="D20" s="173">
        <f>B20*C20*6</f>
        <v>69418.5</v>
      </c>
      <c r="E20" s="174">
        <v>0.8</v>
      </c>
      <c r="F20" s="175">
        <v>23139.5</v>
      </c>
      <c r="G20" s="173">
        <f>E20*F20*6</f>
        <v>111069.6</v>
      </c>
      <c r="H20" s="140"/>
      <c r="I20" s="103">
        <f>D20+G20</f>
        <v>180488.1</v>
      </c>
      <c r="K20" s="6"/>
    </row>
    <row r="21" spans="1:12" ht="15.75" thickBot="1">
      <c r="A21" s="29"/>
      <c r="B21" s="55"/>
      <c r="C21" s="55"/>
      <c r="D21" s="56"/>
      <c r="E21" s="94"/>
      <c r="F21" s="55"/>
      <c r="G21" s="56"/>
      <c r="H21" s="147"/>
      <c r="I21" s="136"/>
      <c r="K21" s="6"/>
    </row>
    <row r="22" spans="1:12" ht="19.5" thickBot="1">
      <c r="A22" s="30" t="s">
        <v>15</v>
      </c>
      <c r="B22" s="39"/>
      <c r="C22" s="39"/>
      <c r="D22" s="77">
        <f>D23+D38+D52+D53+D56+D61+D69+D71+D72+D73+D77+D80+D81+D82+D83+D84+D85</f>
        <v>15000418.429720001</v>
      </c>
      <c r="E22" s="95"/>
      <c r="F22" s="76"/>
      <c r="G22" s="77">
        <f>G23+G38+G52+G53+G56+G61+G69+G70+G71+G72+G73+G77+G80+G81+G82+G83+G84+G85</f>
        <v>15368728.910705999</v>
      </c>
      <c r="H22" s="143"/>
      <c r="I22" s="134">
        <f>D22+G22</f>
        <v>30369147.340425998</v>
      </c>
      <c r="K22" s="6"/>
    </row>
    <row r="23" spans="1:12" ht="29.25" thickBot="1">
      <c r="A23" s="15" t="s">
        <v>68</v>
      </c>
      <c r="B23" s="57"/>
      <c r="C23" s="57"/>
      <c r="D23" s="58">
        <f>D24+D31+D35+D36+D37</f>
        <v>1555693.767</v>
      </c>
      <c r="E23" s="96"/>
      <c r="F23" s="57"/>
      <c r="G23" s="97">
        <f>G24+G31+G35+G36+G37</f>
        <v>1610603.4553499999</v>
      </c>
      <c r="H23" s="132">
        <f>G23/F12/6</f>
        <v>11.600678892154107</v>
      </c>
      <c r="I23" s="134">
        <f>D23+G23</f>
        <v>3166297.2223499999</v>
      </c>
      <c r="K23" s="6"/>
      <c r="L23" s="11"/>
    </row>
    <row r="24" spans="1:12" ht="15.75" thickBot="1">
      <c r="A24" s="31" t="s">
        <v>69</v>
      </c>
      <c r="B24" s="39"/>
      <c r="C24" s="48"/>
      <c r="D24" s="59">
        <f>SUM(D25:D30)</f>
        <v>1135213.08932</v>
      </c>
      <c r="E24" s="87"/>
      <c r="F24" s="48"/>
      <c r="G24" s="98">
        <f>SUM(G25:G30)</f>
        <v>1185348.7437859999</v>
      </c>
      <c r="H24" s="63"/>
      <c r="I24" s="60">
        <f>D24+G24</f>
        <v>2320561.833106</v>
      </c>
      <c r="J24" s="17"/>
      <c r="K24" s="6"/>
      <c r="L24" s="11"/>
    </row>
    <row r="25" spans="1:12" ht="15.75" thickBot="1">
      <c r="A25" s="16" t="s">
        <v>40</v>
      </c>
      <c r="B25" s="39"/>
      <c r="C25" s="48"/>
      <c r="D25" s="53">
        <v>45000</v>
      </c>
      <c r="E25" s="87"/>
      <c r="F25" s="48"/>
      <c r="G25" s="93">
        <v>45000</v>
      </c>
      <c r="H25" s="63"/>
      <c r="I25" s="162">
        <f>D25+G25</f>
        <v>90000</v>
      </c>
      <c r="J25" s="2" t="s">
        <v>41</v>
      </c>
      <c r="K25" s="6"/>
    </row>
    <row r="26" spans="1:12" ht="30.75" thickBot="1">
      <c r="A26" s="16" t="s">
        <v>42</v>
      </c>
      <c r="B26" s="39"/>
      <c r="C26" s="61"/>
      <c r="D26" s="53">
        <v>25000</v>
      </c>
      <c r="E26" s="87"/>
      <c r="F26" s="61"/>
      <c r="G26" s="93">
        <v>25000</v>
      </c>
      <c r="H26" s="63"/>
      <c r="I26" s="162">
        <f t="shared" ref="I26:I80" si="1">D26+G26</f>
        <v>50000</v>
      </c>
      <c r="J26" s="2" t="s">
        <v>60</v>
      </c>
      <c r="K26" s="6"/>
    </row>
    <row r="27" spans="1:12" ht="45.75" thickBot="1">
      <c r="A27" s="16" t="s">
        <v>43</v>
      </c>
      <c r="B27" s="39"/>
      <c r="C27" s="48"/>
      <c r="D27" s="53">
        <v>62500</v>
      </c>
      <c r="E27" s="87"/>
      <c r="F27" s="48"/>
      <c r="G27" s="93">
        <v>62500</v>
      </c>
      <c r="H27" s="63"/>
      <c r="I27" s="162">
        <f t="shared" si="1"/>
        <v>125000</v>
      </c>
      <c r="J27" s="2" t="s">
        <v>22</v>
      </c>
      <c r="K27" s="6"/>
    </row>
    <row r="28" spans="1:12" ht="60.75" thickBot="1">
      <c r="A28" s="16" t="s">
        <v>52</v>
      </c>
      <c r="B28" s="39"/>
      <c r="C28" s="48"/>
      <c r="D28" s="62">
        <f>(40550.83+47520.51+44352.47)*6</f>
        <v>794542.86</v>
      </c>
      <c r="E28" s="87"/>
      <c r="F28" s="48"/>
      <c r="G28" s="99">
        <f>(40550.83+47520.51+44352.47)*6</f>
        <v>794542.86</v>
      </c>
      <c r="H28" s="130"/>
      <c r="I28" s="162">
        <f t="shared" si="1"/>
        <v>1589085.72</v>
      </c>
      <c r="J28" s="4" t="s">
        <v>56</v>
      </c>
      <c r="K28" s="6"/>
    </row>
    <row r="29" spans="1:12" ht="15.75" thickBot="1">
      <c r="A29" s="32" t="s">
        <v>47</v>
      </c>
      <c r="B29" s="39"/>
      <c r="C29" s="48"/>
      <c r="D29" s="62"/>
      <c r="E29" s="87"/>
      <c r="F29" s="48"/>
      <c r="G29" s="99">
        <f>(G28*1.05-G28)</f>
        <v>39727.14300000004</v>
      </c>
      <c r="H29" s="130"/>
      <c r="I29" s="162">
        <f t="shared" si="1"/>
        <v>39727.14300000004</v>
      </c>
      <c r="J29" s="5" t="s">
        <v>57</v>
      </c>
      <c r="K29" s="6"/>
    </row>
    <row r="30" spans="1:12" ht="15.75" thickBot="1">
      <c r="A30" s="16" t="s">
        <v>26</v>
      </c>
      <c r="B30" s="39"/>
      <c r="C30" s="48"/>
      <c r="D30" s="53">
        <f>D28/100*26.2</f>
        <v>208170.22932000001</v>
      </c>
      <c r="E30" s="87"/>
      <c r="F30" s="48"/>
      <c r="G30" s="93">
        <f>(G28+G29)/100*26.2</f>
        <v>218578.74078599998</v>
      </c>
      <c r="H30" s="63"/>
      <c r="I30" s="162">
        <f t="shared" si="1"/>
        <v>426748.97010599996</v>
      </c>
      <c r="J30" s="3">
        <v>0.20200000000000001</v>
      </c>
      <c r="K30" s="6"/>
    </row>
    <row r="31" spans="1:12" ht="15.75" thickBot="1">
      <c r="A31" s="31" t="s">
        <v>70</v>
      </c>
      <c r="B31" s="39"/>
      <c r="C31" s="48"/>
      <c r="D31" s="59">
        <f>SUM(D32:D34)</f>
        <v>95480.677679999993</v>
      </c>
      <c r="E31" s="87"/>
      <c r="F31" s="48"/>
      <c r="G31" s="98">
        <f>SUM(G32:G34)</f>
        <v>100254.711564</v>
      </c>
      <c r="H31" s="63"/>
      <c r="I31" s="60">
        <f t="shared" si="1"/>
        <v>195735.38924399999</v>
      </c>
      <c r="J31" s="17"/>
      <c r="K31" s="6"/>
    </row>
    <row r="32" spans="1:12" ht="15.75" thickBot="1">
      <c r="A32" s="16" t="s">
        <v>36</v>
      </c>
      <c r="B32" s="39"/>
      <c r="C32" s="48"/>
      <c r="D32" s="53">
        <f>13239.14*6</f>
        <v>79434.84</v>
      </c>
      <c r="E32" s="87"/>
      <c r="F32" s="48"/>
      <c r="G32" s="93">
        <f>13239.14*6</f>
        <v>79434.84</v>
      </c>
      <c r="H32" s="63"/>
      <c r="I32" s="162">
        <f t="shared" si="1"/>
        <v>158869.68</v>
      </c>
      <c r="J32" s="9" t="s">
        <v>55</v>
      </c>
      <c r="K32" s="6"/>
    </row>
    <row r="33" spans="1:11" ht="15.75" thickBot="1">
      <c r="A33" s="32" t="s">
        <v>47</v>
      </c>
      <c r="B33" s="39"/>
      <c r="C33" s="48"/>
      <c r="D33" s="53"/>
      <c r="E33" s="87"/>
      <c r="F33" s="48"/>
      <c r="G33" s="93">
        <f>(G32*1.05-G32)</f>
        <v>3971.7419999999984</v>
      </c>
      <c r="H33" s="63"/>
      <c r="I33" s="162">
        <f t="shared" si="1"/>
        <v>3971.7419999999984</v>
      </c>
      <c r="J33" s="5" t="s">
        <v>57</v>
      </c>
      <c r="K33" s="6"/>
    </row>
    <row r="34" spans="1:11" ht="15.75" thickBot="1">
      <c r="A34" s="16" t="s">
        <v>37</v>
      </c>
      <c r="B34" s="39"/>
      <c r="C34" s="48"/>
      <c r="D34" s="53">
        <f>D32/100*20.2</f>
        <v>16045.837679999999</v>
      </c>
      <c r="E34" s="87"/>
      <c r="F34" s="48"/>
      <c r="G34" s="93">
        <f>(G32+G33)/100*20.2</f>
        <v>16848.129563999999</v>
      </c>
      <c r="H34" s="63"/>
      <c r="I34" s="162">
        <f t="shared" si="1"/>
        <v>32893.967243999999</v>
      </c>
      <c r="J34" s="3">
        <v>0.20200000000000001</v>
      </c>
      <c r="K34" s="6"/>
    </row>
    <row r="35" spans="1:11" ht="15.75" thickBot="1">
      <c r="A35" s="31" t="s">
        <v>71</v>
      </c>
      <c r="B35" s="39"/>
      <c r="C35" s="48"/>
      <c r="D35" s="59">
        <v>160000</v>
      </c>
      <c r="E35" s="87"/>
      <c r="F35" s="48"/>
      <c r="G35" s="98">
        <v>160000</v>
      </c>
      <c r="H35" s="63"/>
      <c r="I35" s="60">
        <f t="shared" si="1"/>
        <v>320000</v>
      </c>
      <c r="J35" s="2" t="s">
        <v>38</v>
      </c>
      <c r="K35" s="6"/>
    </row>
    <row r="36" spans="1:11" ht="15.75" thickBot="1">
      <c r="A36" s="31" t="s">
        <v>72</v>
      </c>
      <c r="B36" s="39"/>
      <c r="C36" s="48"/>
      <c r="D36" s="59">
        <v>150000</v>
      </c>
      <c r="E36" s="87"/>
      <c r="F36" s="48"/>
      <c r="G36" s="98">
        <v>150000</v>
      </c>
      <c r="H36" s="63"/>
      <c r="I36" s="60">
        <f t="shared" si="1"/>
        <v>300000</v>
      </c>
      <c r="J36" s="2" t="s">
        <v>39</v>
      </c>
      <c r="K36" s="6"/>
    </row>
    <row r="37" spans="1:11" ht="15.75" thickBot="1">
      <c r="A37" s="31" t="s">
        <v>73</v>
      </c>
      <c r="B37" s="39"/>
      <c r="C37" s="48"/>
      <c r="D37" s="59">
        <v>15000</v>
      </c>
      <c r="E37" s="100"/>
      <c r="F37" s="101"/>
      <c r="G37" s="102">
        <v>15000</v>
      </c>
      <c r="H37" s="63"/>
      <c r="I37" s="60">
        <f t="shared" si="1"/>
        <v>30000</v>
      </c>
      <c r="J37" s="2"/>
      <c r="K37" s="6"/>
    </row>
    <row r="38" spans="1:11" ht="29.25" thickBot="1">
      <c r="A38" s="15" t="s">
        <v>79</v>
      </c>
      <c r="B38" s="57"/>
      <c r="C38" s="57"/>
      <c r="D38" s="58">
        <f>SUM(D40:D51)</f>
        <v>957946.51899999997</v>
      </c>
      <c r="E38" s="105"/>
      <c r="F38" s="106"/>
      <c r="G38" s="107">
        <f>SUM(G40:G51)</f>
        <v>1009268.8449499999</v>
      </c>
      <c r="H38" s="132">
        <f>G38/F12/6</f>
        <v>7.2694515507393556</v>
      </c>
      <c r="I38" s="163">
        <f t="shared" si="1"/>
        <v>1967215.3639499999</v>
      </c>
      <c r="J38" s="17"/>
      <c r="K38" s="6"/>
    </row>
    <row r="39" spans="1:11" ht="16.5" thickBot="1">
      <c r="A39" s="183" t="s">
        <v>78</v>
      </c>
      <c r="B39" s="184"/>
      <c r="C39" s="184"/>
      <c r="D39" s="184"/>
      <c r="E39" s="184"/>
      <c r="F39" s="184"/>
      <c r="G39" s="185"/>
      <c r="H39" s="138"/>
      <c r="I39" s="163">
        <f t="shared" si="1"/>
        <v>0</v>
      </c>
      <c r="J39" s="17"/>
      <c r="K39" s="6"/>
    </row>
    <row r="40" spans="1:11" ht="60.75" thickBot="1">
      <c r="A40" s="16" t="s">
        <v>49</v>
      </c>
      <c r="B40" s="39"/>
      <c r="C40" s="48"/>
      <c r="D40" s="62">
        <f>(47520.5+25435.73+12672.14+28964.88)*6</f>
        <v>687559.5</v>
      </c>
      <c r="E40" s="87"/>
      <c r="F40" s="48"/>
      <c r="G40" s="62">
        <f>(47520.5+25435.73+12672.14+28964.88)*6</f>
        <v>687559.5</v>
      </c>
      <c r="H40" s="145"/>
      <c r="I40" s="162">
        <f t="shared" si="1"/>
        <v>1375119</v>
      </c>
      <c r="J40" s="10" t="s">
        <v>54</v>
      </c>
      <c r="K40" s="6"/>
    </row>
    <row r="41" spans="1:11" ht="15.75" thickBot="1">
      <c r="A41" s="32" t="s">
        <v>47</v>
      </c>
      <c r="B41" s="39"/>
      <c r="C41" s="48"/>
      <c r="D41" s="53"/>
      <c r="E41" s="87"/>
      <c r="F41" s="48"/>
      <c r="G41" s="53">
        <f>(G40*1.05-G40)</f>
        <v>34377.974999999977</v>
      </c>
      <c r="H41" s="140"/>
      <c r="I41" s="162">
        <f t="shared" si="1"/>
        <v>34377.974999999977</v>
      </c>
      <c r="J41" s="8" t="s">
        <v>57</v>
      </c>
      <c r="K41" s="6"/>
    </row>
    <row r="42" spans="1:11" ht="15.75" thickBot="1">
      <c r="A42" s="16" t="s">
        <v>29</v>
      </c>
      <c r="B42" s="39"/>
      <c r="C42" s="48"/>
      <c r="D42" s="53">
        <f>D40/100*20.2</f>
        <v>138887.019</v>
      </c>
      <c r="E42" s="87"/>
      <c r="F42" s="48"/>
      <c r="G42" s="53">
        <f>(G40+G41)/100*20.2</f>
        <v>145831.36994999999</v>
      </c>
      <c r="H42" s="140"/>
      <c r="I42" s="162">
        <f t="shared" si="1"/>
        <v>284718.38894999999</v>
      </c>
      <c r="J42" s="3">
        <v>0.20200000000000001</v>
      </c>
      <c r="K42" s="6"/>
    </row>
    <row r="43" spans="1:11" ht="30.75" thickBot="1">
      <c r="A43" s="16" t="s">
        <v>30</v>
      </c>
      <c r="B43" s="39"/>
      <c r="C43" s="48"/>
      <c r="D43" s="53">
        <v>15000</v>
      </c>
      <c r="E43" s="87"/>
      <c r="F43" s="48"/>
      <c r="G43" s="53">
        <v>15000</v>
      </c>
      <c r="H43" s="140"/>
      <c r="I43" s="162">
        <f t="shared" si="1"/>
        <v>30000</v>
      </c>
      <c r="J43" s="2"/>
      <c r="K43" s="6"/>
    </row>
    <row r="44" spans="1:11" ht="45.75" thickBot="1">
      <c r="A44" s="16" t="s">
        <v>50</v>
      </c>
      <c r="B44" s="39"/>
      <c r="C44" s="48"/>
      <c r="D44" s="64">
        <v>10000</v>
      </c>
      <c r="E44" s="87"/>
      <c r="F44" s="48"/>
      <c r="G44" s="64">
        <v>15000</v>
      </c>
      <c r="H44" s="140"/>
      <c r="I44" s="162">
        <f t="shared" si="1"/>
        <v>25000</v>
      </c>
      <c r="J44" s="2" t="s">
        <v>22</v>
      </c>
      <c r="K44" s="6"/>
    </row>
    <row r="45" spans="1:11" ht="30.75" thickBot="1">
      <c r="A45" s="16" t="s">
        <v>62</v>
      </c>
      <c r="B45" s="39"/>
      <c r="C45" s="65"/>
      <c r="D45" s="54">
        <v>15000</v>
      </c>
      <c r="E45" s="87"/>
      <c r="F45" s="65"/>
      <c r="G45" s="54">
        <v>15000</v>
      </c>
      <c r="H45" s="140"/>
      <c r="I45" s="162">
        <f t="shared" si="1"/>
        <v>30000</v>
      </c>
      <c r="J45" s="2" t="s">
        <v>60</v>
      </c>
      <c r="K45" s="6"/>
    </row>
    <row r="46" spans="1:11" ht="30.75" thickBot="1">
      <c r="A46" s="16" t="s">
        <v>31</v>
      </c>
      <c r="B46" s="39"/>
      <c r="C46" s="48"/>
      <c r="D46" s="53">
        <v>4000</v>
      </c>
      <c r="E46" s="87"/>
      <c r="F46" s="48"/>
      <c r="G46" s="53">
        <v>4000</v>
      </c>
      <c r="H46" s="140"/>
      <c r="I46" s="162">
        <f t="shared" si="1"/>
        <v>8000</v>
      </c>
      <c r="J46" s="2" t="s">
        <v>22</v>
      </c>
      <c r="K46" s="6"/>
    </row>
    <row r="47" spans="1:11" ht="30.75" thickBot="1">
      <c r="A47" s="16" t="s">
        <v>32</v>
      </c>
      <c r="B47" s="39"/>
      <c r="C47" s="48"/>
      <c r="D47" s="53">
        <v>22500</v>
      </c>
      <c r="E47" s="87"/>
      <c r="F47" s="48"/>
      <c r="G47" s="53">
        <v>22500</v>
      </c>
      <c r="H47" s="140"/>
      <c r="I47" s="162">
        <f t="shared" si="1"/>
        <v>45000</v>
      </c>
      <c r="J47" s="2" t="s">
        <v>22</v>
      </c>
      <c r="K47" s="6"/>
    </row>
    <row r="48" spans="1:11" ht="30.75" thickBot="1">
      <c r="A48" s="16" t="s">
        <v>33</v>
      </c>
      <c r="B48" s="39"/>
      <c r="C48" s="48"/>
      <c r="D48" s="53">
        <v>10000</v>
      </c>
      <c r="E48" s="87"/>
      <c r="F48" s="48"/>
      <c r="G48" s="53">
        <v>10000</v>
      </c>
      <c r="H48" s="140"/>
      <c r="I48" s="162">
        <f t="shared" si="1"/>
        <v>20000</v>
      </c>
      <c r="J48" s="2" t="s">
        <v>22</v>
      </c>
      <c r="K48" s="6"/>
    </row>
    <row r="49" spans="1:11" ht="15.75" thickBot="1">
      <c r="A49" s="168" t="s">
        <v>34</v>
      </c>
      <c r="B49" s="115"/>
      <c r="C49" s="104"/>
      <c r="D49" s="64">
        <v>25000</v>
      </c>
      <c r="E49" s="148"/>
      <c r="F49" s="104"/>
      <c r="G49" s="64">
        <v>25000</v>
      </c>
      <c r="H49" s="140"/>
      <c r="I49" s="162">
        <f t="shared" si="1"/>
        <v>50000</v>
      </c>
      <c r="J49" s="2"/>
      <c r="K49" s="6"/>
    </row>
    <row r="50" spans="1:11" ht="15.75" thickBot="1">
      <c r="A50" s="151" t="s">
        <v>98</v>
      </c>
      <c r="B50" s="152"/>
      <c r="C50" s="149"/>
      <c r="D50" s="153">
        <v>30000</v>
      </c>
      <c r="E50" s="154"/>
      <c r="F50" s="149"/>
      <c r="G50" s="103">
        <v>30000</v>
      </c>
      <c r="H50" s="140"/>
      <c r="I50" s="162">
        <f t="shared" si="1"/>
        <v>60000</v>
      </c>
      <c r="J50" s="2"/>
      <c r="K50" s="6"/>
    </row>
    <row r="51" spans="1:11" ht="15.75" thickBot="1">
      <c r="A51" s="16" t="s">
        <v>35</v>
      </c>
      <c r="B51" s="39"/>
      <c r="C51" s="48"/>
      <c r="D51" s="53"/>
      <c r="E51" s="100"/>
      <c r="F51" s="101"/>
      <c r="G51" s="144">
        <v>5000</v>
      </c>
      <c r="H51" s="140"/>
      <c r="I51" s="162">
        <f t="shared" si="1"/>
        <v>5000</v>
      </c>
      <c r="J51" s="2"/>
      <c r="K51" s="6"/>
    </row>
    <row r="52" spans="1:11" ht="45.75" thickBot="1">
      <c r="A52" s="20" t="s">
        <v>75</v>
      </c>
      <c r="B52" s="66"/>
      <c r="C52" s="67"/>
      <c r="D52" s="68">
        <f>96000*3.18</f>
        <v>305280</v>
      </c>
      <c r="E52" s="66"/>
      <c r="F52" s="67"/>
      <c r="G52" s="68">
        <f>96000*3.37</f>
        <v>323520</v>
      </c>
      <c r="H52" s="132">
        <f>G52/F12/6</f>
        <v>2.3302145681626656</v>
      </c>
      <c r="I52" s="163">
        <f t="shared" si="1"/>
        <v>628800</v>
      </c>
      <c r="J52" s="19" t="s">
        <v>74</v>
      </c>
      <c r="K52" s="6"/>
    </row>
    <row r="53" spans="1:11" ht="30.75" thickBot="1">
      <c r="A53" s="20" t="s">
        <v>80</v>
      </c>
      <c r="B53" s="66"/>
      <c r="C53" s="66"/>
      <c r="D53" s="69">
        <f>D54+D55</f>
        <v>339318</v>
      </c>
      <c r="E53" s="110"/>
      <c r="F53" s="111"/>
      <c r="G53" s="112">
        <f>G54+G55</f>
        <v>339318</v>
      </c>
      <c r="H53" s="132">
        <f>G53/F12/6</f>
        <v>2.4440026794010241</v>
      </c>
      <c r="I53" s="163">
        <f t="shared" si="1"/>
        <v>678636</v>
      </c>
      <c r="J53" s="17"/>
      <c r="K53" s="6"/>
    </row>
    <row r="54" spans="1:11" ht="15.75" thickBot="1">
      <c r="A54" s="16" t="s">
        <v>23</v>
      </c>
      <c r="B54" s="39"/>
      <c r="C54" s="48"/>
      <c r="D54" s="53">
        <f>J54*6</f>
        <v>331818</v>
      </c>
      <c r="E54" s="87"/>
      <c r="F54" s="48"/>
      <c r="G54" s="93">
        <f>J54*6</f>
        <v>331818</v>
      </c>
      <c r="H54" s="63"/>
      <c r="I54" s="162">
        <f t="shared" si="1"/>
        <v>663636</v>
      </c>
      <c r="J54" s="2">
        <v>55303</v>
      </c>
      <c r="K54" s="6"/>
    </row>
    <row r="55" spans="1:11" ht="15.75" thickBot="1">
      <c r="A55" s="16" t="s">
        <v>27</v>
      </c>
      <c r="B55" s="39"/>
      <c r="C55" s="48"/>
      <c r="D55" s="53">
        <v>7500</v>
      </c>
      <c r="E55" s="87"/>
      <c r="F55" s="48"/>
      <c r="G55" s="93">
        <v>7500</v>
      </c>
      <c r="H55" s="63"/>
      <c r="I55" s="162">
        <f t="shared" si="1"/>
        <v>15000</v>
      </c>
      <c r="J55" s="2"/>
      <c r="K55" s="6"/>
    </row>
    <row r="56" spans="1:11" ht="30.75" thickBot="1">
      <c r="A56" s="20" t="s">
        <v>76</v>
      </c>
      <c r="B56" s="66"/>
      <c r="C56" s="66"/>
      <c r="D56" s="69">
        <f>SUM(D57:D60)</f>
        <v>403509.4</v>
      </c>
      <c r="E56" s="113"/>
      <c r="F56" s="66"/>
      <c r="G56" s="114">
        <f>SUM(G57:G60)</f>
        <v>465160.5</v>
      </c>
      <c r="H56" s="132">
        <f>G56/F12/6</f>
        <v>3.3504073121718272</v>
      </c>
      <c r="I56" s="163">
        <f t="shared" si="1"/>
        <v>868669.9</v>
      </c>
      <c r="J56" s="169"/>
      <c r="K56" s="170"/>
    </row>
    <row r="57" spans="1:11" ht="15.75" thickBot="1">
      <c r="A57" s="16" t="s">
        <v>45</v>
      </c>
      <c r="B57" s="39"/>
      <c r="C57" s="48"/>
      <c r="D57" s="53">
        <f>51515.15*6</f>
        <v>309090.90000000002</v>
      </c>
      <c r="E57" s="87"/>
      <c r="F57" s="48"/>
      <c r="G57" s="93">
        <f>51515.15*6</f>
        <v>309090.90000000002</v>
      </c>
      <c r="H57" s="63"/>
      <c r="I57" s="162">
        <f t="shared" si="1"/>
        <v>618181.80000000005</v>
      </c>
      <c r="J57" s="78"/>
      <c r="K57" s="6"/>
    </row>
    <row r="58" spans="1:11" ht="45.75" thickBot="1">
      <c r="A58" s="16" t="s">
        <v>25</v>
      </c>
      <c r="B58" s="39"/>
      <c r="C58" s="48"/>
      <c r="D58" s="53">
        <v>20000</v>
      </c>
      <c r="E58" s="87"/>
      <c r="F58" s="48"/>
      <c r="G58" s="93">
        <v>40000</v>
      </c>
      <c r="H58" s="63"/>
      <c r="I58" s="162">
        <f t="shared" si="1"/>
        <v>60000</v>
      </c>
      <c r="J58" s="2" t="s">
        <v>60</v>
      </c>
      <c r="K58" s="6"/>
    </row>
    <row r="59" spans="1:11" ht="15.75" thickBot="1">
      <c r="A59" s="16" t="s">
        <v>99</v>
      </c>
      <c r="B59" s="39"/>
      <c r="C59" s="48"/>
      <c r="D59" s="53">
        <v>5000</v>
      </c>
      <c r="E59" s="87"/>
      <c r="F59" s="48"/>
      <c r="G59" s="93">
        <v>5000</v>
      </c>
      <c r="H59" s="63"/>
      <c r="I59" s="162">
        <f t="shared" si="1"/>
        <v>10000</v>
      </c>
      <c r="J59" s="2" t="s">
        <v>22</v>
      </c>
      <c r="K59" s="6"/>
    </row>
    <row r="60" spans="1:11" ht="16.5" thickBot="1">
      <c r="A60" s="171" t="s">
        <v>100</v>
      </c>
      <c r="B60" s="39"/>
      <c r="C60" s="48"/>
      <c r="D60" s="53">
        <f>0.5*C12*6</f>
        <v>69418.5</v>
      </c>
      <c r="E60" s="100"/>
      <c r="F60" s="101"/>
      <c r="G60" s="109">
        <f>0.8*F12*6</f>
        <v>111069.6</v>
      </c>
      <c r="H60" s="63"/>
      <c r="I60" s="162">
        <f t="shared" si="1"/>
        <v>180488.1</v>
      </c>
      <c r="J60" s="2" t="s">
        <v>22</v>
      </c>
      <c r="K60" s="6"/>
    </row>
    <row r="61" spans="1:11" ht="30.75" thickBot="1">
      <c r="A61" s="20" t="s">
        <v>77</v>
      </c>
      <c r="B61" s="66"/>
      <c r="C61" s="66"/>
      <c r="D61" s="69">
        <f>SUM(D62:D68)</f>
        <v>505478.63372000004</v>
      </c>
      <c r="E61" s="110"/>
      <c r="F61" s="111"/>
      <c r="G61" s="112">
        <f>SUM(G62:G68)</f>
        <v>454739.930406</v>
      </c>
      <c r="H61" s="132">
        <f>G61/F12/6</f>
        <v>3.275351170120357</v>
      </c>
      <c r="I61" s="163">
        <f t="shared" si="1"/>
        <v>960218.56412600004</v>
      </c>
      <c r="J61" s="159"/>
      <c r="K61" s="6"/>
    </row>
    <row r="62" spans="1:11" ht="30.75" thickBot="1">
      <c r="A62" s="16" t="s">
        <v>16</v>
      </c>
      <c r="B62" s="39"/>
      <c r="C62" s="48"/>
      <c r="D62" s="53">
        <f>43803.65*6</f>
        <v>262821.90000000002</v>
      </c>
      <c r="E62" s="87"/>
      <c r="F62" s="48"/>
      <c r="G62" s="93">
        <f>46000.06*6</f>
        <v>276000.36</v>
      </c>
      <c r="H62" s="63"/>
      <c r="I62" s="162">
        <f t="shared" si="1"/>
        <v>538822.26</v>
      </c>
      <c r="J62" s="4" t="s">
        <v>67</v>
      </c>
      <c r="K62" s="6"/>
    </row>
    <row r="63" spans="1:11" ht="15.75" thickBot="1">
      <c r="A63" s="16" t="s">
        <v>17</v>
      </c>
      <c r="B63" s="39"/>
      <c r="C63" s="48"/>
      <c r="D63" s="53">
        <v>65000</v>
      </c>
      <c r="E63" s="87"/>
      <c r="F63" s="48"/>
      <c r="G63" s="93">
        <v>0</v>
      </c>
      <c r="H63" s="63"/>
      <c r="I63" s="162">
        <f t="shared" si="1"/>
        <v>65000</v>
      </c>
      <c r="J63" s="2" t="s">
        <v>61</v>
      </c>
      <c r="K63" s="6"/>
    </row>
    <row r="64" spans="1:11" ht="30.75" thickBot="1">
      <c r="A64" s="16" t="s">
        <v>18</v>
      </c>
      <c r="B64" s="39"/>
      <c r="C64" s="48"/>
      <c r="D64" s="53">
        <v>6000</v>
      </c>
      <c r="E64" s="87"/>
      <c r="F64" s="48"/>
      <c r="G64" s="93">
        <v>0</v>
      </c>
      <c r="H64" s="63"/>
      <c r="I64" s="162">
        <f t="shared" si="1"/>
        <v>6000</v>
      </c>
      <c r="J64" s="2" t="s">
        <v>59</v>
      </c>
      <c r="K64" s="18"/>
    </row>
    <row r="65" spans="1:11" ht="30.75" thickBot="1">
      <c r="A65" s="16" t="s">
        <v>19</v>
      </c>
      <c r="B65" s="39"/>
      <c r="C65" s="48"/>
      <c r="D65" s="53">
        <v>30000</v>
      </c>
      <c r="E65" s="87"/>
      <c r="F65" s="48"/>
      <c r="G65" s="93">
        <v>30000</v>
      </c>
      <c r="H65" s="63"/>
      <c r="I65" s="162">
        <f t="shared" si="1"/>
        <v>60000</v>
      </c>
      <c r="J65" s="2" t="s">
        <v>60</v>
      </c>
      <c r="K65" s="6"/>
    </row>
    <row r="66" spans="1:11" ht="15.75" thickBot="1">
      <c r="A66" s="16" t="s">
        <v>20</v>
      </c>
      <c r="B66" s="39"/>
      <c r="C66" s="48"/>
      <c r="D66" s="53">
        <f>19641.81*6</f>
        <v>117850.86000000002</v>
      </c>
      <c r="E66" s="87"/>
      <c r="F66" s="48"/>
      <c r="G66" s="93">
        <f>19641.81*6</f>
        <v>117850.86000000002</v>
      </c>
      <c r="H66" s="63"/>
      <c r="I66" s="162">
        <f t="shared" si="1"/>
        <v>235701.72000000003</v>
      </c>
      <c r="J66" s="2" t="s">
        <v>58</v>
      </c>
      <c r="K66" s="6"/>
    </row>
    <row r="67" spans="1:11" ht="15.75" thickBot="1">
      <c r="A67" s="32" t="s">
        <v>91</v>
      </c>
      <c r="B67" s="39"/>
      <c r="C67" s="48"/>
      <c r="D67" s="53"/>
      <c r="E67" s="87"/>
      <c r="F67" s="48"/>
      <c r="G67" s="93">
        <f>(G66*1.05-G66)</f>
        <v>5892.5430000000051</v>
      </c>
      <c r="H67" s="63"/>
      <c r="I67" s="162">
        <f t="shared" si="1"/>
        <v>5892.5430000000051</v>
      </c>
      <c r="J67" s="5" t="s">
        <v>57</v>
      </c>
      <c r="K67" s="6"/>
    </row>
    <row r="68" spans="1:11" ht="15.75" thickBot="1">
      <c r="A68" s="16" t="s">
        <v>21</v>
      </c>
      <c r="B68" s="39"/>
      <c r="C68" s="48"/>
      <c r="D68" s="53">
        <f>D66/100*20.2</f>
        <v>23805.873720000003</v>
      </c>
      <c r="E68" s="87"/>
      <c r="F68" s="48"/>
      <c r="G68" s="93">
        <f>(G66+G67)/100*20.2</f>
        <v>24996.167406</v>
      </c>
      <c r="H68" s="63"/>
      <c r="I68" s="162">
        <f t="shared" si="1"/>
        <v>48802.041126000004</v>
      </c>
      <c r="J68" s="3">
        <v>0.20200000000000001</v>
      </c>
      <c r="K68" s="6"/>
    </row>
    <row r="69" spans="1:11" ht="75.75" customHeight="1" thickBot="1">
      <c r="A69" s="20" t="s">
        <v>104</v>
      </c>
      <c r="B69" s="66"/>
      <c r="C69" s="66"/>
      <c r="D69" s="69">
        <v>77144.820000000007</v>
      </c>
      <c r="E69" s="116"/>
      <c r="F69" s="117"/>
      <c r="G69" s="118">
        <v>80818.38</v>
      </c>
      <c r="H69" s="132">
        <f>G69/F12/6</f>
        <v>0.58210981222584757</v>
      </c>
      <c r="I69" s="163">
        <f t="shared" si="1"/>
        <v>157963.20000000001</v>
      </c>
      <c r="J69" s="182" t="s">
        <v>103</v>
      </c>
      <c r="K69" s="6"/>
    </row>
    <row r="70" spans="1:11" ht="30.75" thickBot="1">
      <c r="A70" s="20" t="s">
        <v>105</v>
      </c>
      <c r="B70" s="66"/>
      <c r="C70" s="66"/>
      <c r="D70" s="69"/>
      <c r="E70" s="116"/>
      <c r="F70" s="117"/>
      <c r="G70" s="118">
        <v>41461.1</v>
      </c>
      <c r="H70" s="132">
        <v>0.3</v>
      </c>
      <c r="I70" s="163">
        <v>41461.1</v>
      </c>
      <c r="J70" s="182"/>
      <c r="K70" s="6"/>
    </row>
    <row r="71" spans="1:11" ht="16.5" thickBot="1">
      <c r="A71" s="20" t="s">
        <v>106</v>
      </c>
      <c r="B71" s="66"/>
      <c r="C71" s="66"/>
      <c r="D71" s="69">
        <v>300000</v>
      </c>
      <c r="E71" s="119"/>
      <c r="F71" s="120"/>
      <c r="G71" s="121">
        <v>314000</v>
      </c>
      <c r="H71" s="132">
        <f>G71/F12/6</f>
        <v>2.2616449505535265</v>
      </c>
      <c r="I71" s="163">
        <f t="shared" si="1"/>
        <v>614000</v>
      </c>
      <c r="J71" s="160" t="s">
        <v>94</v>
      </c>
      <c r="K71" s="6"/>
    </row>
    <row r="72" spans="1:11" ht="72" thickBot="1">
      <c r="A72" s="158" t="s">
        <v>102</v>
      </c>
      <c r="B72" s="122"/>
      <c r="C72" s="79"/>
      <c r="D72" s="123">
        <v>165000</v>
      </c>
      <c r="E72" s="122"/>
      <c r="F72" s="79"/>
      <c r="G72" s="123">
        <v>185516.4</v>
      </c>
      <c r="H72" s="132">
        <f>G72/F12/6</f>
        <v>1.3362172907798353</v>
      </c>
      <c r="I72" s="163">
        <f t="shared" si="1"/>
        <v>350516.4</v>
      </c>
      <c r="J72" s="22"/>
      <c r="K72" s="6"/>
    </row>
    <row r="73" spans="1:11" ht="29.25" thickBot="1">
      <c r="A73" s="166" t="s">
        <v>81</v>
      </c>
      <c r="B73" s="120"/>
      <c r="C73" s="120"/>
      <c r="D73" s="167">
        <f>SUM(D74:D76)</f>
        <v>1207889.8</v>
      </c>
      <c r="E73" s="119"/>
      <c r="F73" s="120"/>
      <c r="G73" s="121">
        <f>SUM(G74:G76)</f>
        <v>1268284.29</v>
      </c>
      <c r="H73" s="132">
        <f>G73/F12/6</f>
        <v>9.1350597463212253</v>
      </c>
      <c r="I73" s="163">
        <f t="shared" si="1"/>
        <v>2476174.09</v>
      </c>
      <c r="J73" s="17"/>
      <c r="K73" s="6"/>
    </row>
    <row r="74" spans="1:11" ht="61.5" thickBot="1">
      <c r="A74" s="16" t="s">
        <v>48</v>
      </c>
      <c r="B74" s="39"/>
      <c r="C74" s="48"/>
      <c r="D74" s="53">
        <f>(19641.8*4+19008.2*4)*6+(19641.8*4+19008.2*4)/2</f>
        <v>1004900</v>
      </c>
      <c r="E74" s="87"/>
      <c r="F74" s="48"/>
      <c r="G74" s="93">
        <f>(19641.8*4+19008.2*4)*6+(19641.8*4+19008.2*4)/2</f>
        <v>1004900</v>
      </c>
      <c r="H74" s="63"/>
      <c r="I74" s="162">
        <f t="shared" si="1"/>
        <v>2009800</v>
      </c>
      <c r="J74" s="21" t="s">
        <v>53</v>
      </c>
      <c r="K74" s="6"/>
    </row>
    <row r="75" spans="1:11" ht="15.75" thickBot="1">
      <c r="A75" s="150" t="s">
        <v>47</v>
      </c>
      <c r="B75" s="115"/>
      <c r="C75" s="104"/>
      <c r="D75" s="64"/>
      <c r="E75" s="148"/>
      <c r="F75" s="104"/>
      <c r="G75" s="108">
        <f>(G74*1.05-G74)</f>
        <v>50245</v>
      </c>
      <c r="H75" s="63"/>
      <c r="I75" s="162">
        <f t="shared" si="1"/>
        <v>50245</v>
      </c>
      <c r="J75" s="5" t="s">
        <v>57</v>
      </c>
      <c r="K75" s="6"/>
    </row>
    <row r="76" spans="1:11" ht="15.75" thickBot="1">
      <c r="A76" s="151" t="s">
        <v>28</v>
      </c>
      <c r="B76" s="152"/>
      <c r="C76" s="149"/>
      <c r="D76" s="153">
        <f>D74/100*20.2</f>
        <v>202989.8</v>
      </c>
      <c r="E76" s="154"/>
      <c r="F76" s="149"/>
      <c r="G76" s="103">
        <f>(G74+G75)/100*20.2</f>
        <v>213139.29</v>
      </c>
      <c r="H76" s="63"/>
      <c r="I76" s="162">
        <f t="shared" si="1"/>
        <v>416129.08999999997</v>
      </c>
      <c r="J76" s="3">
        <v>0.20200000000000001</v>
      </c>
      <c r="K76" s="6"/>
    </row>
    <row r="77" spans="1:11" ht="16.5" thickBot="1">
      <c r="A77" s="155" t="s">
        <v>82</v>
      </c>
      <c r="B77" s="152"/>
      <c r="C77" s="149"/>
      <c r="D77" s="156">
        <f>D78+D79</f>
        <v>611189.02</v>
      </c>
      <c r="E77" s="154"/>
      <c r="F77" s="149"/>
      <c r="G77" s="157">
        <f>G78+G79</f>
        <v>641751.82000000007</v>
      </c>
      <c r="H77" s="129"/>
      <c r="I77" s="60">
        <f t="shared" si="1"/>
        <v>1252940.8400000001</v>
      </c>
      <c r="J77" s="2">
        <v>105291.97</v>
      </c>
      <c r="K77" s="6"/>
    </row>
    <row r="78" spans="1:11" ht="15.75" thickBot="1">
      <c r="A78" s="16" t="s">
        <v>23</v>
      </c>
      <c r="B78" s="39"/>
      <c r="C78" s="48"/>
      <c r="D78" s="53">
        <f>J78*6</f>
        <v>601189.02</v>
      </c>
      <c r="E78" s="87"/>
      <c r="F78" s="48"/>
      <c r="G78" s="93">
        <f>J77*6</f>
        <v>631751.82000000007</v>
      </c>
      <c r="H78" s="63"/>
      <c r="I78" s="162">
        <f t="shared" si="1"/>
        <v>1232940.8400000001</v>
      </c>
      <c r="J78" s="2">
        <v>100198.17</v>
      </c>
      <c r="K78" s="6"/>
    </row>
    <row r="79" spans="1:11" ht="15.75" thickBot="1">
      <c r="A79" s="16" t="s">
        <v>24</v>
      </c>
      <c r="B79" s="39"/>
      <c r="C79" s="48"/>
      <c r="D79" s="53">
        <v>10000</v>
      </c>
      <c r="E79" s="87"/>
      <c r="F79" s="48"/>
      <c r="G79" s="93">
        <v>10000</v>
      </c>
      <c r="H79" s="63"/>
      <c r="I79" s="162">
        <f t="shared" si="1"/>
        <v>20000</v>
      </c>
      <c r="J79" s="2" t="s">
        <v>22</v>
      </c>
      <c r="K79" s="6"/>
    </row>
    <row r="80" spans="1:11" ht="29.25" thickBot="1">
      <c r="A80" s="33" t="s">
        <v>95</v>
      </c>
      <c r="B80" s="39"/>
      <c r="C80" s="48"/>
      <c r="D80" s="59">
        <v>25000</v>
      </c>
      <c r="E80" s="87"/>
      <c r="F80" s="48"/>
      <c r="G80" s="98">
        <v>25000</v>
      </c>
      <c r="H80" s="63"/>
      <c r="I80" s="60">
        <f t="shared" si="1"/>
        <v>50000</v>
      </c>
      <c r="J80" s="17"/>
      <c r="K80" s="6"/>
    </row>
    <row r="81" spans="1:11" ht="72" thickBot="1">
      <c r="A81" s="33" t="s">
        <v>108</v>
      </c>
      <c r="B81" s="39"/>
      <c r="C81" s="48"/>
      <c r="D81" s="59">
        <v>289512.03999999998</v>
      </c>
      <c r="E81" s="87"/>
      <c r="F81" s="48"/>
      <c r="G81" s="98">
        <v>357028.18</v>
      </c>
      <c r="H81" s="63"/>
      <c r="I81" s="60">
        <f t="shared" ref="I81:I85" si="2">D81+G81</f>
        <v>646540.22</v>
      </c>
      <c r="J81" s="17"/>
      <c r="K81" s="6"/>
    </row>
    <row r="82" spans="1:11" ht="16.5" thickBot="1">
      <c r="A82" s="33" t="s">
        <v>83</v>
      </c>
      <c r="B82" s="44"/>
      <c r="C82" s="45"/>
      <c r="D82" s="70">
        <f>D10</f>
        <v>1135385.2200000002</v>
      </c>
      <c r="E82" s="90"/>
      <c r="F82" s="45"/>
      <c r="G82" s="125">
        <f>G10</f>
        <v>1135385.2200000002</v>
      </c>
      <c r="H82" s="129"/>
      <c r="I82" s="60">
        <f t="shared" si="2"/>
        <v>2270770.4400000004</v>
      </c>
      <c r="J82" s="2"/>
      <c r="K82" s="6"/>
    </row>
    <row r="83" spans="1:11" ht="16.5" thickBot="1">
      <c r="A83" s="33" t="s">
        <v>84</v>
      </c>
      <c r="B83" s="39"/>
      <c r="C83" s="48"/>
      <c r="D83" s="70">
        <f>380*122.13*6</f>
        <v>278456.40000000002</v>
      </c>
      <c r="E83" s="87"/>
      <c r="F83" s="48"/>
      <c r="G83" s="125">
        <f>380*122.13*6</f>
        <v>278456.40000000002</v>
      </c>
      <c r="H83" s="129"/>
      <c r="I83" s="60">
        <f t="shared" si="2"/>
        <v>556912.80000000005</v>
      </c>
      <c r="J83" s="2" t="s">
        <v>46</v>
      </c>
      <c r="K83" s="6"/>
    </row>
    <row r="84" spans="1:11" ht="16.5" thickBot="1">
      <c r="A84" s="33" t="s">
        <v>85</v>
      </c>
      <c r="B84" s="44"/>
      <c r="C84" s="45"/>
      <c r="D84" s="71">
        <f>D12</f>
        <v>3736103.67</v>
      </c>
      <c r="E84" s="90"/>
      <c r="F84" s="45"/>
      <c r="G84" s="126">
        <f>G12</f>
        <v>3862445.34</v>
      </c>
      <c r="H84" s="129"/>
      <c r="I84" s="60">
        <f t="shared" si="2"/>
        <v>7598549.0099999998</v>
      </c>
      <c r="J84" s="5" t="s">
        <v>44</v>
      </c>
      <c r="K84" s="6"/>
    </row>
    <row r="85" spans="1:11" ht="30.75" thickBot="1">
      <c r="A85" s="33" t="s">
        <v>86</v>
      </c>
      <c r="B85" s="48"/>
      <c r="C85" s="65"/>
      <c r="D85" s="124">
        <f>D13</f>
        <v>3107511.14</v>
      </c>
      <c r="E85" s="127"/>
      <c r="F85" s="128"/>
      <c r="G85" s="72">
        <f>G13</f>
        <v>2975971.05</v>
      </c>
      <c r="H85" s="133"/>
      <c r="I85" s="60">
        <f t="shared" si="2"/>
        <v>6083482.1899999995</v>
      </c>
      <c r="J85" s="4" t="s">
        <v>90</v>
      </c>
      <c r="K85" s="6"/>
    </row>
    <row r="86" spans="1:11" ht="15.75" thickBot="1">
      <c r="A86" s="23"/>
      <c r="C86" s="73"/>
      <c r="F86" s="74"/>
      <c r="K86" s="6"/>
    </row>
    <row r="87" spans="1:11" ht="15.75" thickBot="1">
      <c r="A87" s="161" t="s">
        <v>97</v>
      </c>
      <c r="H87" s="146">
        <f>H23+H38+H52+H53+H56+H60+H61+H69+H70+H71+H72+H73</f>
        <v>43.885137972629771</v>
      </c>
      <c r="K87" s="6"/>
    </row>
    <row r="88" spans="1:11">
      <c r="D88" s="74"/>
    </row>
    <row r="89" spans="1:11">
      <c r="D89" s="74"/>
    </row>
  </sheetData>
  <mergeCells count="7">
    <mergeCell ref="B3:C3"/>
    <mergeCell ref="B6:D6"/>
    <mergeCell ref="E16:G16"/>
    <mergeCell ref="E6:G6"/>
    <mergeCell ref="J69:J70"/>
    <mergeCell ref="A39:G39"/>
    <mergeCell ref="B16:D16"/>
  </mergeCells>
  <pageMargins left="0.70866141732283472" right="0.70866141732283472" top="0.74803149606299213" bottom="0.74803149606299213" header="0.31496062992125984" footer="0.31496062992125984"/>
  <pageSetup paperSize="8" scale="60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Павел</cp:lastModifiedBy>
  <cp:lastPrinted>2016-04-07T08:37:51Z</cp:lastPrinted>
  <dcterms:created xsi:type="dcterms:W3CDTF">2014-02-25T06:32:20Z</dcterms:created>
  <dcterms:modified xsi:type="dcterms:W3CDTF">2016-07-04T08:24:57Z</dcterms:modified>
</cp:coreProperties>
</file>